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1"/>
  </bookViews>
  <sheets>
    <sheet name="Données" sheetId="2" r:id="rId1"/>
    <sheet name="Résultats" sheetId="3" r:id="rId2"/>
  </sheets>
  <calcPr calcId="162913"/>
</workbook>
</file>

<file path=xl/calcChain.xml><?xml version="1.0" encoding="utf-8"?>
<calcChain xmlns="http://schemas.openxmlformats.org/spreadsheetml/2006/main">
  <c r="C13" i="3" l="1"/>
  <c r="D8" i="3"/>
  <c r="E8" i="3"/>
  <c r="F8" i="3"/>
  <c r="G8" i="3"/>
  <c r="H8" i="3"/>
  <c r="I8" i="3"/>
  <c r="J8" i="3"/>
  <c r="K8" i="3"/>
  <c r="L8" i="3"/>
  <c r="M8" i="3"/>
  <c r="D9" i="3"/>
  <c r="E9" i="3"/>
  <c r="F9" i="3"/>
  <c r="G9" i="3"/>
  <c r="H9" i="3"/>
  <c r="I9" i="3"/>
  <c r="J9" i="3"/>
  <c r="K9" i="3"/>
  <c r="L9" i="3"/>
  <c r="M9" i="3"/>
  <c r="D10" i="3"/>
  <c r="E10" i="3"/>
  <c r="F10" i="3"/>
  <c r="G10" i="3"/>
  <c r="H10" i="3"/>
  <c r="I10" i="3"/>
  <c r="J10" i="3"/>
  <c r="K10" i="3"/>
  <c r="L10" i="3"/>
  <c r="M10" i="3"/>
  <c r="C9" i="3"/>
  <c r="C8" i="3"/>
  <c r="C10" i="3"/>
  <c r="C4" i="3" l="1"/>
  <c r="C6" i="3" s="1"/>
  <c r="C5" i="3" l="1"/>
  <c r="C7" i="3" s="1"/>
  <c r="D12" i="3"/>
  <c r="E12" i="3"/>
  <c r="F12" i="3"/>
  <c r="G12" i="3"/>
  <c r="H12" i="3"/>
  <c r="I12" i="3"/>
  <c r="J12" i="3"/>
  <c r="K12" i="3"/>
  <c r="L12" i="3"/>
  <c r="M12" i="3"/>
  <c r="C12" i="3"/>
  <c r="D4" i="3"/>
  <c r="D5" i="3" s="1"/>
  <c r="E4" i="3"/>
  <c r="E5" i="3" s="1"/>
  <c r="F4" i="3"/>
  <c r="F5" i="3" s="1"/>
  <c r="G4" i="3"/>
  <c r="G5" i="3" s="1"/>
  <c r="H4" i="3"/>
  <c r="H6" i="3" s="1"/>
  <c r="I4" i="3"/>
  <c r="I6" i="3" s="1"/>
  <c r="J4" i="3"/>
  <c r="J6" i="3" s="1"/>
  <c r="K4" i="3"/>
  <c r="K6" i="3" s="1"/>
  <c r="L4" i="3"/>
  <c r="L6" i="3" s="1"/>
  <c r="M4" i="3"/>
  <c r="M6" i="3" s="1"/>
  <c r="D6" i="3" l="1"/>
  <c r="D7" i="3" s="1"/>
  <c r="K5" i="3"/>
  <c r="K7" i="3" s="1"/>
  <c r="G6" i="3"/>
  <c r="G7" i="3" s="1"/>
  <c r="F6" i="3"/>
  <c r="F7" i="3" s="1"/>
  <c r="E6" i="3"/>
  <c r="E7" i="3" s="1"/>
  <c r="H5" i="3"/>
  <c r="H7" i="3" s="1"/>
  <c r="I5" i="3"/>
  <c r="I7" i="3" s="1"/>
  <c r="M5" i="3"/>
  <c r="M7" i="3" s="1"/>
  <c r="L5" i="3"/>
  <c r="L7" i="3" s="1"/>
  <c r="J5" i="3"/>
  <c r="J7" i="3" s="1"/>
  <c r="H13" i="3" l="1"/>
  <c r="J13" i="3"/>
  <c r="I13" i="3"/>
  <c r="E13" i="3"/>
  <c r="L13" i="3"/>
  <c r="D13" i="3"/>
  <c r="M13" i="3"/>
  <c r="F13" i="3"/>
  <c r="K13" i="3"/>
  <c r="G13" i="3"/>
  <c r="H11" i="3" l="1"/>
  <c r="H14" i="3" s="1"/>
  <c r="H15" i="3" s="1"/>
  <c r="C11" i="3"/>
  <c r="C14" i="3" s="1"/>
  <c r="C15" i="3" s="1"/>
  <c r="G11" i="3"/>
  <c r="G14" i="3" s="1"/>
  <c r="G15" i="3" s="1"/>
  <c r="E11" i="3"/>
  <c r="E14" i="3" s="1"/>
  <c r="E15" i="3" s="1"/>
  <c r="L11" i="3"/>
  <c r="L14" i="3" s="1"/>
  <c r="L15" i="3" s="1"/>
  <c r="M11" i="3"/>
  <c r="M14" i="3" s="1"/>
  <c r="M15" i="3" s="1"/>
  <c r="I11" i="3"/>
  <c r="I14" i="3" s="1"/>
  <c r="I15" i="3" s="1"/>
  <c r="K11" i="3"/>
  <c r="K14" i="3" s="1"/>
  <c r="K15" i="3" s="1"/>
  <c r="J11" i="3"/>
  <c r="J14" i="3" s="1"/>
  <c r="J15" i="3" s="1"/>
  <c r="D11" i="3"/>
  <c r="D14" i="3" s="1"/>
  <c r="D15" i="3" s="1"/>
  <c r="F11" i="3"/>
  <c r="F14" i="3" s="1"/>
  <c r="F15" i="3" s="1"/>
</calcChain>
</file>

<file path=xl/sharedStrings.xml><?xml version="1.0" encoding="utf-8"?>
<sst xmlns="http://schemas.openxmlformats.org/spreadsheetml/2006/main" count="45" uniqueCount="34">
  <si>
    <t>kWh</t>
  </si>
  <si>
    <t>Fournisseur</t>
  </si>
  <si>
    <t>Production</t>
  </si>
  <si>
    <t>Redevance fixe</t>
  </si>
  <si>
    <t>Energie normale</t>
  </si>
  <si>
    <t>Cout de réseaux</t>
  </si>
  <si>
    <t>Distribution normale</t>
  </si>
  <si>
    <t>Transport</t>
  </si>
  <si>
    <t>Prosumer capacitaire</t>
  </si>
  <si>
    <t>Suppléments</t>
  </si>
  <si>
    <t>Cotisation sur l'énergie</t>
  </si>
  <si>
    <t>Redevance raccordement</t>
  </si>
  <si>
    <t>Accise fédérale</t>
  </si>
  <si>
    <t>Cout de l'énergie verte</t>
  </si>
  <si>
    <t>Couts réseaux</t>
  </si>
  <si>
    <t>Total hors prosumer</t>
  </si>
  <si>
    <t>Taille onduleur</t>
  </si>
  <si>
    <t>Taille PV</t>
  </si>
  <si>
    <t>kWc</t>
  </si>
  <si>
    <t>kVA</t>
  </si>
  <si>
    <t>Autoconsommation</t>
  </si>
  <si>
    <t>Consommation brute</t>
  </si>
  <si>
    <t>Consommation nette</t>
  </si>
  <si>
    <t>Besoin énergétique</t>
  </si>
  <si>
    <t>Injection</t>
  </si>
  <si>
    <t>/kWh</t>
  </si>
  <si>
    <t>/kWe</t>
  </si>
  <si>
    <t>Total avec prosumer</t>
  </si>
  <si>
    <t>Mensualité</t>
  </si>
  <si>
    <t>Activité de mesure</t>
  </si>
  <si>
    <t>Couts fournisseur</t>
  </si>
  <si>
    <t>Prosumer proportionnel</t>
  </si>
  <si>
    <t>/an</t>
  </si>
  <si>
    <t>Besoins énergétiques et production annuels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</si>
</sst>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00\ &quot;€&quot;_-;\-* #,##0.0000\ &quot;€&quot;_-;_-* &quot;-&quot;??\ &quot;€&quot;_-;_-@_-"/>
    <numFmt numFmtId="165" formatCode="_-* #,##0\ _€_-;\-* #,##0\ _€_-;_-* &quot;-&quot;??\ _€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8">
    <xf numFmtId="0" fontId="0" fillId="0" borderId="0" xfId="0"/>
    <xf numFmtId="44" fontId="0" fillId="0" borderId="0" xfId="1" applyFont="1"/>
    <xf numFmtId="0" fontId="3" fillId="0" borderId="0" xfId="0" applyFont="1"/>
    <xf numFmtId="44" fontId="0" fillId="2" borderId="0" xfId="1" applyFont="1" applyFill="1"/>
    <xf numFmtId="164" fontId="0" fillId="2" borderId="0" xfId="1" applyNumberFormat="1" applyFont="1" applyFill="1"/>
    <xf numFmtId="44" fontId="0" fillId="3" borderId="0" xfId="1" applyFont="1" applyFill="1"/>
    <xf numFmtId="164" fontId="0" fillId="3" borderId="0" xfId="1" applyNumberFormat="1" applyFont="1" applyFill="1"/>
    <xf numFmtId="0" fontId="0" fillId="0" borderId="0" xfId="0" applyFont="1"/>
    <xf numFmtId="0" fontId="0" fillId="3" borderId="0" xfId="0" applyFill="1"/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9" fontId="0" fillId="0" borderId="23" xfId="3" applyFont="1" applyBorder="1" applyAlignment="1">
      <alignment horizontal="center" vertical="center"/>
    </xf>
    <xf numFmtId="9" fontId="0" fillId="0" borderId="21" xfId="3" applyFont="1" applyBorder="1" applyAlignment="1">
      <alignment horizontal="center" vertical="center"/>
    </xf>
    <xf numFmtId="9" fontId="0" fillId="0" borderId="22" xfId="3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65" fontId="0" fillId="0" borderId="3" xfId="2" applyNumberFormat="1" applyFont="1" applyBorder="1" applyAlignment="1">
      <alignment horizontal="center" vertical="center"/>
    </xf>
    <xf numFmtId="165" fontId="0" fillId="0" borderId="4" xfId="2" applyNumberFormat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44" fontId="0" fillId="0" borderId="5" xfId="1" applyFon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0" fillId="0" borderId="6" xfId="1" applyFont="1" applyBorder="1" applyAlignment="1">
      <alignment horizontal="center" vertical="center"/>
    </xf>
    <xf numFmtId="44" fontId="0" fillId="0" borderId="10" xfId="1" applyFont="1" applyBorder="1" applyAlignment="1">
      <alignment horizontal="center" vertical="center"/>
    </xf>
    <xf numFmtId="44" fontId="0" fillId="0" borderId="11" xfId="1" applyFont="1" applyBorder="1" applyAlignment="1">
      <alignment horizontal="center" vertical="center"/>
    </xf>
    <xf numFmtId="44" fontId="0" fillId="0" borderId="12" xfId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4" fontId="0" fillId="0" borderId="13" xfId="1" applyFont="1" applyBorder="1" applyAlignment="1">
      <alignment horizontal="center" vertical="center"/>
    </xf>
    <xf numFmtId="44" fontId="0" fillId="0" borderId="14" xfId="1" applyFont="1" applyBorder="1" applyAlignment="1">
      <alignment horizontal="center" vertical="center"/>
    </xf>
    <xf numFmtId="44" fontId="0" fillId="0" borderId="15" xfId="1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44" fontId="1" fillId="0" borderId="24" xfId="1" applyFont="1" applyBorder="1" applyAlignment="1">
      <alignment horizontal="center" vertical="center"/>
    </xf>
    <xf numFmtId="44" fontId="1" fillId="0" borderId="25" xfId="1" applyFont="1" applyBorder="1" applyAlignment="1">
      <alignment horizontal="center" vertical="center"/>
    </xf>
    <xf numFmtId="44" fontId="1" fillId="0" borderId="26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4" fontId="1" fillId="0" borderId="3" xfId="0" applyNumberFormat="1" applyFont="1" applyBorder="1" applyAlignment="1">
      <alignment horizontal="center" vertical="center"/>
    </xf>
    <xf numFmtId="44" fontId="1" fillId="0" borderId="4" xfId="0" applyNumberFormat="1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44" fontId="1" fillId="0" borderId="8" xfId="0" applyNumberFormat="1" applyFont="1" applyBorder="1"/>
    <xf numFmtId="44" fontId="1" fillId="0" borderId="9" xfId="0" applyNumberFormat="1" applyFont="1" applyBorder="1"/>
    <xf numFmtId="165" fontId="0" fillId="0" borderId="2" xfId="2" applyNumberFormat="1" applyFon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4">
    <cellStyle name="Milliers" xfId="2" builtinId="3"/>
    <cellStyle name="Monétaire" xfId="1" builtinId="4"/>
    <cellStyle name="Normal" xfId="0" builtinId="0"/>
    <cellStyle name="Pourcentage" xfId="3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Résultats!$C$2</c:f>
              <c:strCache>
                <c:ptCount val="1"/>
                <c:pt idx="0">
                  <c:v>Autoconsommation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Résultats!$C$3:$M$3</c:f>
              <c:numCache>
                <c:formatCode>0%</c:formatCode>
                <c:ptCount val="1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</c:numCache>
            </c:numRef>
          </c:xVal>
          <c:yVal>
            <c:numRef>
              <c:f>Résultats!$C$14:$M$14</c:f>
              <c:numCache>
                <c:formatCode>_("€"* #,##0.00_);_("€"* \(#,##0.00\);_("€"* "-"??_);_(@_)</c:formatCode>
                <c:ptCount val="11"/>
                <c:pt idx="0">
                  <c:v>760.03874999999994</c:v>
                </c:pt>
                <c:pt idx="1">
                  <c:v>760.03874999999994</c:v>
                </c:pt>
                <c:pt idx="2">
                  <c:v>760.03874999999994</c:v>
                </c:pt>
                <c:pt idx="3">
                  <c:v>760.03874999999994</c:v>
                </c:pt>
                <c:pt idx="4">
                  <c:v>748.70074999999997</c:v>
                </c:pt>
                <c:pt idx="5">
                  <c:v>726.32074999999998</c:v>
                </c:pt>
                <c:pt idx="6">
                  <c:v>703.94074999999998</c:v>
                </c:pt>
                <c:pt idx="7">
                  <c:v>681.56074999999998</c:v>
                </c:pt>
                <c:pt idx="8">
                  <c:v>659.18074999999999</c:v>
                </c:pt>
                <c:pt idx="9">
                  <c:v>636.80074999999999</c:v>
                </c:pt>
                <c:pt idx="10">
                  <c:v>614.42075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25A-4B7E-8F27-D7177E50C7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4595071"/>
        <c:axId val="754596735"/>
      </c:scatterChart>
      <c:valAx>
        <c:axId val="7545950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BE"/>
                  <a:t>Autoconsommation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54596735"/>
        <c:crosses val="autoZero"/>
        <c:crossBetween val="midCat"/>
      </c:valAx>
      <c:valAx>
        <c:axId val="7545967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BE"/>
                  <a:t>Cout</a:t>
                </a:r>
                <a:r>
                  <a:rPr lang="fr-BE" baseline="0"/>
                  <a:t> annuel</a:t>
                </a:r>
                <a:endParaRPr lang="fr-BE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_(&quot;€&quot;* #,##0.00_);_(&quot;€&quot;* \(#,##0.00\);_(&quot;€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545950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15</xdr:row>
      <xdr:rowOff>156210</xdr:rowOff>
    </xdr:from>
    <xdr:to>
      <xdr:col>12</xdr:col>
      <xdr:colOff>617220</xdr:colOff>
      <xdr:row>31</xdr:row>
      <xdr:rowOff>160020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6"/>
  <sheetViews>
    <sheetView zoomScaleNormal="100" workbookViewId="0">
      <selection activeCell="F4" sqref="F4"/>
    </sheetView>
  </sheetViews>
  <sheetFormatPr baseColWidth="10" defaultColWidth="9.109375" defaultRowHeight="14.4" x14ac:dyDescent="0.3"/>
  <cols>
    <col min="2" max="2" width="22.88671875" customWidth="1"/>
  </cols>
  <sheetData>
    <row r="2" spans="2:4" x14ac:dyDescent="0.3">
      <c r="B2" s="2" t="s">
        <v>33</v>
      </c>
    </row>
    <row r="3" spans="2:4" x14ac:dyDescent="0.3">
      <c r="B3" s="2"/>
    </row>
    <row r="4" spans="2:4" x14ac:dyDescent="0.3">
      <c r="B4" s="7" t="s">
        <v>23</v>
      </c>
      <c r="C4" s="8">
        <v>3500</v>
      </c>
      <c r="D4" t="s">
        <v>0</v>
      </c>
    </row>
    <row r="5" spans="2:4" x14ac:dyDescent="0.3">
      <c r="B5" s="7" t="s">
        <v>2</v>
      </c>
      <c r="C5" s="8">
        <v>2000</v>
      </c>
      <c r="D5" t="s">
        <v>0</v>
      </c>
    </row>
    <row r="6" spans="2:4" x14ac:dyDescent="0.3">
      <c r="B6" s="7" t="s">
        <v>16</v>
      </c>
      <c r="C6" s="8">
        <v>2.2000000000000002</v>
      </c>
      <c r="D6" t="s">
        <v>19</v>
      </c>
    </row>
    <row r="7" spans="2:4" x14ac:dyDescent="0.3">
      <c r="B7" s="7" t="s">
        <v>17</v>
      </c>
      <c r="C7" s="8">
        <v>2.2000000000000002</v>
      </c>
      <c r="D7" t="s">
        <v>18</v>
      </c>
    </row>
    <row r="9" spans="2:4" x14ac:dyDescent="0.3">
      <c r="B9" s="2" t="s">
        <v>1</v>
      </c>
    </row>
    <row r="11" spans="2:4" x14ac:dyDescent="0.3">
      <c r="B11" t="s">
        <v>3</v>
      </c>
      <c r="C11" s="5">
        <v>61.48</v>
      </c>
      <c r="D11" t="s">
        <v>32</v>
      </c>
    </row>
    <row r="12" spans="2:4" x14ac:dyDescent="0.3">
      <c r="B12" t="s">
        <v>4</v>
      </c>
      <c r="C12" s="6">
        <v>0.16422</v>
      </c>
      <c r="D12" t="s">
        <v>25</v>
      </c>
    </row>
    <row r="13" spans="2:4" x14ac:dyDescent="0.3">
      <c r="B13" t="s">
        <v>13</v>
      </c>
      <c r="C13" s="6">
        <v>3.032E-2</v>
      </c>
      <c r="D13" t="s">
        <v>25</v>
      </c>
    </row>
    <row r="15" spans="2:4" x14ac:dyDescent="0.3">
      <c r="B15" s="2" t="s">
        <v>5</v>
      </c>
    </row>
    <row r="17" spans="2:4" x14ac:dyDescent="0.3">
      <c r="B17" t="s">
        <v>6</v>
      </c>
      <c r="C17" s="4">
        <v>9.0700000000000003E-2</v>
      </c>
      <c r="D17" t="s">
        <v>25</v>
      </c>
    </row>
    <row r="18" spans="2:4" x14ac:dyDescent="0.3">
      <c r="B18" t="s">
        <v>29</v>
      </c>
      <c r="C18" s="3">
        <v>13.6</v>
      </c>
      <c r="D18" t="s">
        <v>25</v>
      </c>
    </row>
    <row r="19" spans="2:4" x14ac:dyDescent="0.3">
      <c r="B19" t="s">
        <v>7</v>
      </c>
      <c r="C19" s="4">
        <v>2.12E-2</v>
      </c>
      <c r="D19" t="s">
        <v>25</v>
      </c>
    </row>
    <row r="20" spans="2:4" x14ac:dyDescent="0.3">
      <c r="B20" t="s">
        <v>8</v>
      </c>
      <c r="C20" s="3">
        <v>66.19</v>
      </c>
      <c r="D20" t="s">
        <v>26</v>
      </c>
    </row>
    <row r="21" spans="2:4" x14ac:dyDescent="0.3">
      <c r="C21" s="1"/>
    </row>
    <row r="22" spans="2:4" x14ac:dyDescent="0.3">
      <c r="B22" s="2" t="s">
        <v>9</v>
      </c>
      <c r="C22" s="1"/>
    </row>
    <row r="23" spans="2:4" x14ac:dyDescent="0.3">
      <c r="B23" s="2"/>
      <c r="C23" s="1"/>
    </row>
    <row r="24" spans="2:4" x14ac:dyDescent="0.3">
      <c r="B24" t="s">
        <v>10</v>
      </c>
      <c r="C24" s="4">
        <v>2.0417E-3</v>
      </c>
      <c r="D24" t="s">
        <v>25</v>
      </c>
    </row>
    <row r="25" spans="2:4" x14ac:dyDescent="0.3">
      <c r="B25" t="s">
        <v>11</v>
      </c>
      <c r="C25" s="4">
        <v>7.5000000000000002E-4</v>
      </c>
      <c r="D25" t="s">
        <v>25</v>
      </c>
    </row>
    <row r="26" spans="2:4" x14ac:dyDescent="0.3">
      <c r="B26" t="s">
        <v>12</v>
      </c>
      <c r="C26" s="4">
        <v>5.03288E-2</v>
      </c>
      <c r="D26" t="s">
        <v>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5"/>
  <sheetViews>
    <sheetView tabSelected="1" topLeftCell="A9" workbookViewId="0">
      <selection activeCell="R19" sqref="R19"/>
    </sheetView>
  </sheetViews>
  <sheetFormatPr baseColWidth="10" defaultColWidth="9.109375" defaultRowHeight="14.4" x14ac:dyDescent="0.3"/>
  <cols>
    <col min="2" max="2" width="20.6640625" customWidth="1"/>
    <col min="3" max="13" width="10.44140625" customWidth="1"/>
  </cols>
  <sheetData>
    <row r="1" spans="2:13" ht="15" thickBot="1" x14ac:dyDescent="0.35"/>
    <row r="2" spans="2:13" ht="20.399999999999999" customHeight="1" thickBot="1" x14ac:dyDescent="0.35">
      <c r="B2" s="9"/>
      <c r="C2" s="46" t="s">
        <v>20</v>
      </c>
      <c r="D2" s="46"/>
      <c r="E2" s="46"/>
      <c r="F2" s="46"/>
      <c r="G2" s="46"/>
      <c r="H2" s="46"/>
      <c r="I2" s="46"/>
      <c r="J2" s="46"/>
      <c r="K2" s="46"/>
      <c r="L2" s="46"/>
      <c r="M2" s="47"/>
    </row>
    <row r="3" spans="2:13" ht="20.399999999999999" customHeight="1" thickBot="1" x14ac:dyDescent="0.35">
      <c r="B3" s="10"/>
      <c r="C3" s="11">
        <v>0</v>
      </c>
      <c r="D3" s="12">
        <v>0.1</v>
      </c>
      <c r="E3" s="12">
        <v>0.2</v>
      </c>
      <c r="F3" s="12">
        <v>0.3</v>
      </c>
      <c r="G3" s="12">
        <v>0.4</v>
      </c>
      <c r="H3" s="12">
        <v>0.5</v>
      </c>
      <c r="I3" s="12">
        <v>0.6</v>
      </c>
      <c r="J3" s="12">
        <v>0.7</v>
      </c>
      <c r="K3" s="12">
        <v>0.8</v>
      </c>
      <c r="L3" s="12">
        <v>0.9</v>
      </c>
      <c r="M3" s="13">
        <v>1</v>
      </c>
    </row>
    <row r="4" spans="2:13" ht="20.399999999999999" customHeight="1" x14ac:dyDescent="0.3">
      <c r="B4" s="14" t="s">
        <v>2</v>
      </c>
      <c r="C4" s="43">
        <f>Données!$C$5</f>
        <v>2000</v>
      </c>
      <c r="D4" s="15">
        <f>Données!$C$5</f>
        <v>2000</v>
      </c>
      <c r="E4" s="15">
        <f>Données!$C$5</f>
        <v>2000</v>
      </c>
      <c r="F4" s="15">
        <f>Données!$C$5</f>
        <v>2000</v>
      </c>
      <c r="G4" s="15">
        <f>Données!$C$5</f>
        <v>2000</v>
      </c>
      <c r="H4" s="15">
        <f>Données!$C$5</f>
        <v>2000</v>
      </c>
      <c r="I4" s="15">
        <f>Données!$C$5</f>
        <v>2000</v>
      </c>
      <c r="J4" s="15">
        <f>Données!$C$5</f>
        <v>2000</v>
      </c>
      <c r="K4" s="15">
        <f>Données!$C$5</f>
        <v>2000</v>
      </c>
      <c r="L4" s="15">
        <f>Données!$C$5</f>
        <v>2000</v>
      </c>
      <c r="M4" s="16">
        <f>Données!$C$5</f>
        <v>2000</v>
      </c>
    </row>
    <row r="5" spans="2:13" ht="20.399999999999999" customHeight="1" x14ac:dyDescent="0.3">
      <c r="B5" s="17" t="s">
        <v>21</v>
      </c>
      <c r="C5" s="44">
        <f>IF(Données!$C$4-Résultats!C4*C3&gt;0,Données!$C$4-Résultats!C4*C3,0)</f>
        <v>3500</v>
      </c>
      <c r="D5" s="18">
        <f>IF(Données!$C$4-Résultats!D4*D3&gt;0,Données!$C$4-Résultats!D4*D3,0)</f>
        <v>3300</v>
      </c>
      <c r="E5" s="18">
        <f>IF(Données!$C$4-Résultats!E4*E3&gt;0,Données!$C$4-Résultats!E4*E3,0)</f>
        <v>3100</v>
      </c>
      <c r="F5" s="18">
        <f>IF(Données!$C$4-Résultats!F4*F3&gt;0,Données!$C$4-Résultats!F4*F3,0)</f>
        <v>2900</v>
      </c>
      <c r="G5" s="18">
        <f>IF(Données!$C$4-Résultats!G4*G3&gt;0,Données!$C$4-Résultats!G4*G3,0)</f>
        <v>2700</v>
      </c>
      <c r="H5" s="18">
        <f>IF(Données!$C$4-Résultats!H4*H3&gt;0,Données!$C$4-Résultats!H4*H3,0)</f>
        <v>2500</v>
      </c>
      <c r="I5" s="18">
        <f>IF(Données!$C$4-Résultats!I4*I3&gt;0,Données!$C$4-Résultats!I4*I3,0)</f>
        <v>2300</v>
      </c>
      <c r="J5" s="18">
        <f>IF(Données!$C$4-Résultats!J4*J3&gt;0,Données!$C$4-Résultats!J4*J3,0)</f>
        <v>2100</v>
      </c>
      <c r="K5" s="18">
        <f>IF(Données!$C$4-Résultats!K4*K3&gt;0,Données!$C$4-Résultats!K4*K3,0)</f>
        <v>1900</v>
      </c>
      <c r="L5" s="18">
        <f>IF(Données!$C$4-Résultats!L4*L3&gt;0,Données!$C$4-Résultats!L4*L3,0)</f>
        <v>1700</v>
      </c>
      <c r="M5" s="19">
        <f>IF(Données!$C$4-Résultats!M4*M3&gt;0,Données!$C$4-Résultats!M4*M3,0)</f>
        <v>1500</v>
      </c>
    </row>
    <row r="6" spans="2:13" ht="20.399999999999999" customHeight="1" x14ac:dyDescent="0.3">
      <c r="B6" s="17" t="s">
        <v>24</v>
      </c>
      <c r="C6" s="44">
        <f>IF(C3*C4&lt;=Données!$C$4,(1-C3)*C4,"Incohérence")</f>
        <v>2000</v>
      </c>
      <c r="D6" s="18">
        <f>IF(D3*D4&lt;=Données!$C$4,(1-D3)*D4,"Incohérence")</f>
        <v>1800</v>
      </c>
      <c r="E6" s="18">
        <f>IF(E3*E4&lt;=Données!$C$4,(1-E3)*E4,"Incohérence")</f>
        <v>1600</v>
      </c>
      <c r="F6" s="18">
        <f>IF(F3*F4&lt;=Données!$C$4,(1-F3)*F4,"Incohérence")</f>
        <v>1400</v>
      </c>
      <c r="G6" s="18">
        <f>IF(G3*G4&lt;=Données!$C$4,(1-G3)*G4,"Incohérence")</f>
        <v>1200</v>
      </c>
      <c r="H6" s="18">
        <f>IF(H3*H4&lt;=Données!$C$4,(1-H3)*H4,"Incohérence")</f>
        <v>1000</v>
      </c>
      <c r="I6" s="18">
        <f>IF(I3*I4&lt;=Données!$C$4,(1-I3)*I4,"Incohérence")</f>
        <v>800</v>
      </c>
      <c r="J6" s="18">
        <f>IF(J3*J4&lt;=Données!$C$4,(1-J3)*J4,"Incohérence")</f>
        <v>600.00000000000011</v>
      </c>
      <c r="K6" s="18">
        <f>IF(K3*K4&lt;=Données!$C$4,(1-K3)*K4,"Incohérence")</f>
        <v>399.99999999999989</v>
      </c>
      <c r="L6" s="18">
        <f>IF(L3*L4&lt;=Données!$C$4,(1-L3)*L4,"Incohérence")</f>
        <v>199.99999999999994</v>
      </c>
      <c r="M6" s="19">
        <f>IF(M3*M4&lt;=Données!$C$4,(1-M3)*M4,"Incohérence")</f>
        <v>0</v>
      </c>
    </row>
    <row r="7" spans="2:13" ht="20.399999999999999" customHeight="1" thickBot="1" x14ac:dyDescent="0.35">
      <c r="B7" s="20" t="s">
        <v>22</v>
      </c>
      <c r="C7" s="45">
        <f t="shared" ref="C7" si="0">C5-C6</f>
        <v>1500</v>
      </c>
      <c r="D7" s="21">
        <f t="shared" ref="D7:M7" si="1">D5-D6</f>
        <v>1500</v>
      </c>
      <c r="E7" s="21">
        <f t="shared" si="1"/>
        <v>1500</v>
      </c>
      <c r="F7" s="21">
        <f t="shared" si="1"/>
        <v>1500</v>
      </c>
      <c r="G7" s="21">
        <f t="shared" si="1"/>
        <v>1500</v>
      </c>
      <c r="H7" s="21">
        <f t="shared" si="1"/>
        <v>1500</v>
      </c>
      <c r="I7" s="21">
        <f t="shared" si="1"/>
        <v>1500</v>
      </c>
      <c r="J7" s="21">
        <f t="shared" si="1"/>
        <v>1500</v>
      </c>
      <c r="K7" s="21">
        <f t="shared" si="1"/>
        <v>1500</v>
      </c>
      <c r="L7" s="21">
        <f t="shared" si="1"/>
        <v>1500</v>
      </c>
      <c r="M7" s="22">
        <f t="shared" si="1"/>
        <v>1500</v>
      </c>
    </row>
    <row r="8" spans="2:13" ht="20.399999999999999" customHeight="1" x14ac:dyDescent="0.3">
      <c r="B8" s="17" t="s">
        <v>30</v>
      </c>
      <c r="C8" s="23">
        <f>IF(C7&gt;0,Données!$C$11+C7*(Données!$C$12+Données!$C$13),Données!$C$11)</f>
        <v>353.29</v>
      </c>
      <c r="D8" s="24">
        <f>IF(D7&gt;0,Données!$C$11+D7*(Données!$C$12+Données!$C$13),Données!$C$11)</f>
        <v>353.29</v>
      </c>
      <c r="E8" s="24">
        <f>IF(E7&gt;0,Données!$C$11+E7*(Données!$C$12+Données!$C$13),Données!$C$11)</f>
        <v>353.29</v>
      </c>
      <c r="F8" s="24">
        <f>IF(F7&gt;0,Données!$C$11+F7*(Données!$C$12+Données!$C$13),Données!$C$11)</f>
        <v>353.29</v>
      </c>
      <c r="G8" s="24">
        <f>IF(G7&gt;0,Données!$C$11+G7*(Données!$C$12+Données!$C$13),Données!$C$11)</f>
        <v>353.29</v>
      </c>
      <c r="H8" s="24">
        <f>IF(H7&gt;0,Données!$C$11+H7*(Données!$C$12+Données!$C$13),Données!$C$11)</f>
        <v>353.29</v>
      </c>
      <c r="I8" s="24">
        <f>IF(I7&gt;0,Données!$C$11+I7*(Données!$C$12+Données!$C$13),Données!$C$11)</f>
        <v>353.29</v>
      </c>
      <c r="J8" s="24">
        <f>IF(J7&gt;0,Données!$C$11+J7*(Données!$C$12+Données!$C$13),Données!$C$11)</f>
        <v>353.29</v>
      </c>
      <c r="K8" s="24">
        <f>IF(K7&gt;0,Données!$C$11+K7*(Données!$C$12+Données!$C$13),Données!$C$11)</f>
        <v>353.29</v>
      </c>
      <c r="L8" s="24">
        <f>IF(L7&gt;0,Données!$C$11+L7*(Données!$C$12+Données!$C$13),Données!$C$11)</f>
        <v>353.29</v>
      </c>
      <c r="M8" s="25">
        <f>IF(M7&gt;0,Données!$C$11+M7*(Données!$C$12+Données!$C$13),Données!$C$11)</f>
        <v>353.29</v>
      </c>
    </row>
    <row r="9" spans="2:13" ht="20.399999999999999" customHeight="1" x14ac:dyDescent="0.3">
      <c r="B9" s="17" t="s">
        <v>14</v>
      </c>
      <c r="C9" s="23">
        <f>IF(C7&gt;0,C7*(Données!$C$17+Données!$C$19)+Données!$C$18,Données!$C$18)</f>
        <v>181.45</v>
      </c>
      <c r="D9" s="24">
        <f>IF(D7&gt;0,D7*(Données!$C$17+Données!$C$19)+Données!$C$18,Données!$C$18)</f>
        <v>181.45</v>
      </c>
      <c r="E9" s="24">
        <f>IF(E7&gt;0,E7*(Données!$C$17+Données!$C$19)+Données!$C$18,Données!$C$18)</f>
        <v>181.45</v>
      </c>
      <c r="F9" s="24">
        <f>IF(F7&gt;0,F7*(Données!$C$17+Données!$C$19)+Données!$C$18,Données!$C$18)</f>
        <v>181.45</v>
      </c>
      <c r="G9" s="24">
        <f>IF(G7&gt;0,G7*(Données!$C$17+Données!$C$19)+Données!$C$18,Données!$C$18)</f>
        <v>181.45</v>
      </c>
      <c r="H9" s="24">
        <f>IF(H7&gt;0,H7*(Données!$C$17+Données!$C$19)+Données!$C$18,Données!$C$18)</f>
        <v>181.45</v>
      </c>
      <c r="I9" s="24">
        <f>IF(I7&gt;0,I7*(Données!$C$17+Données!$C$19)+Données!$C$18,Données!$C$18)</f>
        <v>181.45</v>
      </c>
      <c r="J9" s="24">
        <f>IF(J7&gt;0,J7*(Données!$C$17+Données!$C$19)+Données!$C$18,Données!$C$18)</f>
        <v>181.45</v>
      </c>
      <c r="K9" s="24">
        <f>IF(K7&gt;0,K7*(Données!$C$17+Données!$C$19)+Données!$C$18,Données!$C$18)</f>
        <v>181.45</v>
      </c>
      <c r="L9" s="24">
        <f>IF(L7&gt;0,L7*(Données!$C$17+Données!$C$19)+Données!$C$18,Données!$C$18)</f>
        <v>181.45</v>
      </c>
      <c r="M9" s="25">
        <f>IF(M7&gt;0,M7*(Données!$C$17+Données!$C$19)+Données!$C$18,Données!$C$18)</f>
        <v>181.45</v>
      </c>
    </row>
    <row r="10" spans="2:13" ht="20.399999999999999" customHeight="1" thickBot="1" x14ac:dyDescent="0.35">
      <c r="B10" s="10" t="s">
        <v>9</v>
      </c>
      <c r="C10" s="26">
        <f>IF(C7&gt;0,(Données!$C$24+Données!$C$25+Données!$C$26)*C7,0)</f>
        <v>79.680750000000003</v>
      </c>
      <c r="D10" s="27">
        <f>IF(D7&gt;0,(Données!$C$24+Données!$C$25+Données!$C$26)*D7,0)</f>
        <v>79.680750000000003</v>
      </c>
      <c r="E10" s="27">
        <f>IF(E7&gt;0,(Données!$C$24+Données!$C$25+Données!$C$26)*E7,0)</f>
        <v>79.680750000000003</v>
      </c>
      <c r="F10" s="27">
        <f>IF(F7&gt;0,(Données!$C$24+Données!$C$25+Données!$C$26)*F7,0)</f>
        <v>79.680750000000003</v>
      </c>
      <c r="G10" s="27">
        <f>IF(G7&gt;0,(Données!$C$24+Données!$C$25+Données!$C$26)*G7,0)</f>
        <v>79.680750000000003</v>
      </c>
      <c r="H10" s="27">
        <f>IF(H7&gt;0,(Données!$C$24+Données!$C$25+Données!$C$26)*H7,0)</f>
        <v>79.680750000000003</v>
      </c>
      <c r="I10" s="27">
        <f>IF(I7&gt;0,(Données!$C$24+Données!$C$25+Données!$C$26)*I7,0)</f>
        <v>79.680750000000003</v>
      </c>
      <c r="J10" s="27">
        <f>IF(J7&gt;0,(Données!$C$24+Données!$C$25+Données!$C$26)*J7,0)</f>
        <v>79.680750000000003</v>
      </c>
      <c r="K10" s="27">
        <f>IF(K7&gt;0,(Données!$C$24+Données!$C$25+Données!$C$26)*K7,0)</f>
        <v>79.680750000000003</v>
      </c>
      <c r="L10" s="27">
        <f>IF(L7&gt;0,(Données!$C$24+Données!$C$25+Données!$C$26)*L7,0)</f>
        <v>79.680750000000003</v>
      </c>
      <c r="M10" s="28">
        <f>IF(M7&gt;0,(Données!$C$24+Données!$C$25+Données!$C$26)*M7,0)</f>
        <v>79.680750000000003</v>
      </c>
    </row>
    <row r="11" spans="2:13" ht="20.399999999999999" customHeight="1" thickBot="1" x14ac:dyDescent="0.35">
      <c r="B11" s="33" t="s">
        <v>15</v>
      </c>
      <c r="C11" s="34">
        <f>C8+C9+C10</f>
        <v>614.42075</v>
      </c>
      <c r="D11" s="35">
        <f t="shared" ref="D11:M11" si="2">D8+D9+D10</f>
        <v>614.42075</v>
      </c>
      <c r="E11" s="35">
        <f t="shared" si="2"/>
        <v>614.42075</v>
      </c>
      <c r="F11" s="35">
        <f t="shared" si="2"/>
        <v>614.42075</v>
      </c>
      <c r="G11" s="35">
        <f t="shared" si="2"/>
        <v>614.42075</v>
      </c>
      <c r="H11" s="35">
        <f t="shared" si="2"/>
        <v>614.42075</v>
      </c>
      <c r="I11" s="35">
        <f t="shared" si="2"/>
        <v>614.42075</v>
      </c>
      <c r="J11" s="35">
        <f t="shared" si="2"/>
        <v>614.42075</v>
      </c>
      <c r="K11" s="35">
        <f t="shared" si="2"/>
        <v>614.42075</v>
      </c>
      <c r="L11" s="35">
        <f t="shared" si="2"/>
        <v>614.42075</v>
      </c>
      <c r="M11" s="36">
        <f t="shared" si="2"/>
        <v>614.42075</v>
      </c>
    </row>
    <row r="12" spans="2:13" ht="20.399999999999999" customHeight="1" x14ac:dyDescent="0.3">
      <c r="B12" s="29" t="s">
        <v>8</v>
      </c>
      <c r="C12" s="30">
        <f>MIN(Données!$C$6:$C$7)*Données!$C$20</f>
        <v>145.61799999999999</v>
      </c>
      <c r="D12" s="31">
        <f>MIN(Données!$C$6:$C$7)*Données!$C$20</f>
        <v>145.61799999999999</v>
      </c>
      <c r="E12" s="31">
        <f>MIN(Données!$C$6:$C$7)*Données!$C$20</f>
        <v>145.61799999999999</v>
      </c>
      <c r="F12" s="31">
        <f>MIN(Données!$C$6:$C$7)*Données!$C$20</f>
        <v>145.61799999999999</v>
      </c>
      <c r="G12" s="31">
        <f>MIN(Données!$C$6:$C$7)*Données!$C$20</f>
        <v>145.61799999999999</v>
      </c>
      <c r="H12" s="31">
        <f>MIN(Données!$C$6:$C$7)*Données!$C$20</f>
        <v>145.61799999999999</v>
      </c>
      <c r="I12" s="31">
        <f>MIN(Données!$C$6:$C$7)*Données!$C$20</f>
        <v>145.61799999999999</v>
      </c>
      <c r="J12" s="31">
        <f>MIN(Données!$C$6:$C$7)*Données!$C$20</f>
        <v>145.61799999999999</v>
      </c>
      <c r="K12" s="31">
        <f>MIN(Données!$C$6:$C$7)*Données!$C$20</f>
        <v>145.61799999999999</v>
      </c>
      <c r="L12" s="31">
        <f>MIN(Données!$C$6:$C$7)*Données!$C$20</f>
        <v>145.61799999999999</v>
      </c>
      <c r="M12" s="32">
        <f>MIN(Données!$C$6:$C$7)*Données!$C$20</f>
        <v>145.61799999999999</v>
      </c>
    </row>
    <row r="13" spans="2:13" ht="20.399999999999999" customHeight="1" thickBot="1" x14ac:dyDescent="0.35">
      <c r="B13" s="10" t="s">
        <v>31</v>
      </c>
      <c r="C13" s="26">
        <f>IF(C7&lt;0,C5*(Données!$C$17+Données!$C$19),C6*(Données!$C$17+Données!$C$19))</f>
        <v>223.8</v>
      </c>
      <c r="D13" s="27">
        <f>IF(D7&lt;0,D5*(Données!$C$17+Données!$C$19),D6*(Données!$C$17+Données!$C$19))</f>
        <v>201.42</v>
      </c>
      <c r="E13" s="27">
        <f>IF(E7&lt;0,E5*(Données!$C$17+Données!$C$19),E6*(Données!$C$17+Données!$C$19))</f>
        <v>179.04</v>
      </c>
      <c r="F13" s="27">
        <f>IF(F7&lt;0,F5*(Données!$C$17+Données!$C$19),F6*(Données!$C$17+Données!$C$19))</f>
        <v>156.66</v>
      </c>
      <c r="G13" s="27">
        <f>IF(G7&lt;0,G5*(Données!$C$17+Données!$C$19),G6*(Données!$C$17+Données!$C$19))</f>
        <v>134.28</v>
      </c>
      <c r="H13" s="27">
        <f>IF(H7&lt;0,H5*(Données!$C$17+Données!$C$19),H6*(Données!$C$17+Données!$C$19))</f>
        <v>111.9</v>
      </c>
      <c r="I13" s="27">
        <f>IF(I7&lt;0,I5*(Données!$C$17+Données!$C$19),I6*(Données!$C$17+Données!$C$19))</f>
        <v>89.52</v>
      </c>
      <c r="J13" s="27">
        <f>IF(J7&lt;0,J5*(Données!$C$17+Données!$C$19),J6*(Données!$C$17+Données!$C$19))</f>
        <v>67.140000000000015</v>
      </c>
      <c r="K13" s="27">
        <f>IF(K7&lt;0,K5*(Données!$C$17+Données!$C$19),K6*(Données!$C$17+Données!$C$19))</f>
        <v>44.759999999999984</v>
      </c>
      <c r="L13" s="27">
        <f>IF(L7&lt;0,L5*(Données!$C$17+Données!$C$19),L6*(Données!$C$17+Données!$C$19))</f>
        <v>22.379999999999992</v>
      </c>
      <c r="M13" s="28">
        <f>IF(M7&lt;0,M5*(Données!$C$17+Données!$C$19),M6*(Données!$C$17+Données!$C$19))</f>
        <v>0</v>
      </c>
    </row>
    <row r="14" spans="2:13" ht="20.399999999999999" customHeight="1" x14ac:dyDescent="0.3">
      <c r="B14" s="37" t="s">
        <v>27</v>
      </c>
      <c r="C14" s="38">
        <f>C11+MIN(C12:C13)</f>
        <v>760.03874999999994</v>
      </c>
      <c r="D14" s="38">
        <f t="shared" ref="D14:M14" si="3">D11+MIN(D12:D13)</f>
        <v>760.03874999999994</v>
      </c>
      <c r="E14" s="38">
        <f t="shared" si="3"/>
        <v>760.03874999999994</v>
      </c>
      <c r="F14" s="38">
        <f t="shared" si="3"/>
        <v>760.03874999999994</v>
      </c>
      <c r="G14" s="38">
        <f t="shared" si="3"/>
        <v>748.70074999999997</v>
      </c>
      <c r="H14" s="38">
        <f t="shared" si="3"/>
        <v>726.32074999999998</v>
      </c>
      <c r="I14" s="38">
        <f t="shared" si="3"/>
        <v>703.94074999999998</v>
      </c>
      <c r="J14" s="38">
        <f t="shared" si="3"/>
        <v>681.56074999999998</v>
      </c>
      <c r="K14" s="38">
        <f t="shared" si="3"/>
        <v>659.18074999999999</v>
      </c>
      <c r="L14" s="38">
        <f t="shared" si="3"/>
        <v>636.80074999999999</v>
      </c>
      <c r="M14" s="39">
        <f t="shared" si="3"/>
        <v>614.42075</v>
      </c>
    </row>
    <row r="15" spans="2:13" ht="15" thickBot="1" x14ac:dyDescent="0.35">
      <c r="B15" s="40" t="s">
        <v>28</v>
      </c>
      <c r="C15" s="41">
        <f>C14/12</f>
        <v>63.336562499999992</v>
      </c>
      <c r="D15" s="41">
        <f t="shared" ref="D15:M15" si="4">D14/12</f>
        <v>63.336562499999992</v>
      </c>
      <c r="E15" s="41">
        <f t="shared" si="4"/>
        <v>63.336562499999992</v>
      </c>
      <c r="F15" s="41">
        <f t="shared" si="4"/>
        <v>63.336562499999992</v>
      </c>
      <c r="G15" s="41">
        <f t="shared" si="4"/>
        <v>62.391729166666664</v>
      </c>
      <c r="H15" s="41">
        <f t="shared" si="4"/>
        <v>60.526729166666662</v>
      </c>
      <c r="I15" s="41">
        <f t="shared" si="4"/>
        <v>58.661729166666667</v>
      </c>
      <c r="J15" s="41">
        <f t="shared" si="4"/>
        <v>56.796729166666665</v>
      </c>
      <c r="K15" s="41">
        <f t="shared" si="4"/>
        <v>54.931729166666663</v>
      </c>
      <c r="L15" s="41">
        <f t="shared" si="4"/>
        <v>53.066729166666669</v>
      </c>
      <c r="M15" s="42">
        <f t="shared" si="4"/>
        <v>51.201729166666667</v>
      </c>
    </row>
  </sheetData>
  <mergeCells count="1">
    <mergeCell ref="C2:M2"/>
  </mergeCells>
  <conditionalFormatting sqref="C6:M6">
    <cfRule type="containsText" dxfId="0" priority="1" operator="containsText" text="Inco">
      <formula>NOT(ISERROR(SEARCH("Inco",C6)))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Données</vt:lpstr>
      <vt:lpstr>Résultats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2024-06-16T19:18:39Z</dcterms:modified>
</cp:coreProperties>
</file>