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8916"/>
  </bookViews>
  <sheets>
    <sheet name="Données" sheetId="1" r:id="rId1"/>
    <sheet name="Calcul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2" l="1"/>
  <c r="C28" i="2"/>
  <c r="F24" i="2"/>
  <c r="F25" i="2" l="1"/>
  <c r="F26" i="2"/>
  <c r="F27" i="2"/>
  <c r="D28" i="2"/>
  <c r="D25" i="2"/>
  <c r="D26" i="2"/>
  <c r="D24" i="2"/>
  <c r="C26" i="2"/>
  <c r="C25" i="2"/>
  <c r="L7" i="1"/>
  <c r="F38" i="2" l="1"/>
  <c r="L16" i="1" s="1"/>
  <c r="B38" i="2"/>
  <c r="C38" i="2"/>
  <c r="E24" i="2"/>
  <c r="E28" i="2" l="1"/>
  <c r="C24" i="2"/>
  <c r="L6" i="1"/>
  <c r="B44" i="2" s="1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E25" i="2"/>
  <c r="E26" i="2"/>
  <c r="B43" i="2" l="1"/>
  <c r="B58" i="2"/>
  <c r="B50" i="2"/>
  <c r="B42" i="2"/>
  <c r="B57" i="2"/>
  <c r="B49" i="2"/>
  <c r="B41" i="2"/>
  <c r="B56" i="2"/>
  <c r="B48" i="2"/>
  <c r="B40" i="2"/>
  <c r="B47" i="2"/>
  <c r="B54" i="2"/>
  <c r="B45" i="2"/>
  <c r="B51" i="2"/>
  <c r="B55" i="2"/>
  <c r="B39" i="2"/>
  <c r="B46" i="2"/>
  <c r="B53" i="2"/>
  <c r="B52" i="2"/>
  <c r="F31" i="2" l="1"/>
  <c r="L12" i="1" s="1"/>
  <c r="E25" i="1" l="1"/>
  <c r="E26" i="1"/>
  <c r="E27" i="1"/>
  <c r="E28" i="1"/>
  <c r="A24" i="1"/>
  <c r="E24" i="1" s="1"/>
  <c r="A23" i="1"/>
  <c r="E23" i="1" s="1"/>
  <c r="A21" i="1"/>
  <c r="E21" i="1" s="1"/>
  <c r="A20" i="1"/>
  <c r="E20" i="1" s="1"/>
  <c r="A19" i="1"/>
  <c r="E19" i="1" s="1"/>
  <c r="A22" i="1"/>
  <c r="E22" i="1" s="1"/>
  <c r="A18" i="1"/>
  <c r="E18" i="1" s="1"/>
  <c r="A17" i="1"/>
  <c r="E17" i="1" s="1"/>
  <c r="A16" i="1"/>
  <c r="E16" i="1" s="1"/>
</calcChain>
</file>

<file path=xl/sharedStrings.xml><?xml version="1.0" encoding="utf-8"?>
<sst xmlns="http://schemas.openxmlformats.org/spreadsheetml/2006/main" count="54" uniqueCount="49">
  <si>
    <t>Taille de l'onduleur</t>
  </si>
  <si>
    <t>kVA</t>
  </si>
  <si>
    <t>Puissance crête</t>
  </si>
  <si>
    <t>kWc</t>
  </si>
  <si>
    <t>Injection jour</t>
  </si>
  <si>
    <t>Injection nuit</t>
  </si>
  <si>
    <t>Type de compteur</t>
  </si>
  <si>
    <t>Communicant</t>
  </si>
  <si>
    <t>Type de tarification</t>
  </si>
  <si>
    <t>Compteur</t>
  </si>
  <si>
    <t>Tarification</t>
  </si>
  <si>
    <t>Mono-horaire</t>
  </si>
  <si>
    <t>Bi-horaire</t>
  </si>
  <si>
    <t>Nature du compteur</t>
  </si>
  <si>
    <t>Données de production et de consommation annuelles</t>
  </si>
  <si>
    <t>Consommation nette mono-horaire</t>
  </si>
  <si>
    <t>Consommation nette jour</t>
  </si>
  <si>
    <t>Consommation nette nuit</t>
  </si>
  <si>
    <t>Consommation brute mono-horaire</t>
  </si>
  <si>
    <t>Consommation brute jour</t>
  </si>
  <si>
    <t>Consommation brute nuit</t>
  </si>
  <si>
    <t>Injection mono-horaire</t>
  </si>
  <si>
    <t>Index</t>
  </si>
  <si>
    <t>Production annuelle</t>
  </si>
  <si>
    <t>kWh</t>
  </si>
  <si>
    <t>Données</t>
  </si>
  <si>
    <t>Résultats</t>
  </si>
  <si>
    <t>Taille installation</t>
  </si>
  <si>
    <t>kWe</t>
  </si>
  <si>
    <t>Cout de réseau 2024 BW</t>
  </si>
  <si>
    <t>Distribution jour</t>
  </si>
  <si>
    <t>Distribution nuit</t>
  </si>
  <si>
    <t>Activité de mesure</t>
  </si>
  <si>
    <t>Transport</t>
  </si>
  <si>
    <t>Prosumer</t>
  </si>
  <si>
    <t>Injection</t>
  </si>
  <si>
    <t>Injection connue :</t>
  </si>
  <si>
    <t>Injection inconnue :</t>
  </si>
  <si>
    <t>Capacitaire</t>
  </si>
  <si>
    <t>Seuil d'autoconsommation</t>
  </si>
  <si>
    <t>Consommation nette</t>
  </si>
  <si>
    <t>Brute</t>
  </si>
  <si>
    <t>Données installation PV</t>
  </si>
  <si>
    <t>Distribution normale</t>
  </si>
  <si>
    <t>Autoconsommation</t>
  </si>
  <si>
    <t>Électromécanique</t>
  </si>
  <si>
    <t>Tarifi prosumer capacitaire</t>
  </si>
  <si>
    <t>Tarif prosumer proportionel</t>
  </si>
  <si>
    <t>Proportionnel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</si>
</sst>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3671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0" fillId="0" borderId="0" xfId="0" applyFont="1"/>
    <xf numFmtId="44" fontId="0" fillId="0" borderId="0" xfId="1" applyFont="1"/>
    <xf numFmtId="0" fontId="2" fillId="2" borderId="0" xfId="0" applyFont="1" applyFill="1"/>
    <xf numFmtId="44" fontId="2" fillId="2" borderId="0" xfId="1" applyFont="1" applyFill="1"/>
    <xf numFmtId="0" fontId="0" fillId="3" borderId="0" xfId="0" applyFill="1"/>
    <xf numFmtId="0" fontId="0" fillId="4" borderId="0" xfId="0" applyFill="1"/>
    <xf numFmtId="44" fontId="0" fillId="0" borderId="0" xfId="0" applyNumberFormat="1"/>
    <xf numFmtId="44" fontId="0" fillId="2" borderId="0" xfId="0" applyNumberFormat="1" applyFill="1"/>
    <xf numFmtId="9" fontId="0" fillId="0" borderId="0" xfId="2" applyFont="1"/>
    <xf numFmtId="9" fontId="0" fillId="2" borderId="0" xfId="0" applyNumberFormat="1" applyFill="1"/>
    <xf numFmtId="0" fontId="4" fillId="0" borderId="0" xfId="0" applyFont="1" applyAlignment="1"/>
    <xf numFmtId="0" fontId="4" fillId="0" borderId="0" xfId="0" applyFont="1" applyAlignment="1">
      <alignment horizont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colors>
    <mruColors>
      <color rgb="FFE36713"/>
      <color rgb="FFD862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Calculs!$B$37</c:f>
              <c:strCache>
                <c:ptCount val="1"/>
                <c:pt idx="0">
                  <c:v>Capacitaire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Calculs!$A$38:$A$58</c:f>
              <c:numCache>
                <c:formatCode>0%</c:formatCode>
                <c:ptCount val="21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0.55000000000000004</c:v>
                </c:pt>
                <c:pt idx="12">
                  <c:v>0.6</c:v>
                </c:pt>
                <c:pt idx="13">
                  <c:v>0.65</c:v>
                </c:pt>
                <c:pt idx="14">
                  <c:v>0.7</c:v>
                </c:pt>
                <c:pt idx="15">
                  <c:v>0.75</c:v>
                </c:pt>
                <c:pt idx="16">
                  <c:v>0.8</c:v>
                </c:pt>
                <c:pt idx="17">
                  <c:v>0.85</c:v>
                </c:pt>
                <c:pt idx="18">
                  <c:v>0.9</c:v>
                </c:pt>
                <c:pt idx="19">
                  <c:v>0.95</c:v>
                </c:pt>
                <c:pt idx="20">
                  <c:v>1</c:v>
                </c:pt>
              </c:numCache>
            </c:numRef>
          </c:xVal>
          <c:yVal>
            <c:numRef>
              <c:f>Calculs!$B$38:$B$58</c:f>
              <c:numCache>
                <c:formatCode>_("€"* #,##0.00_);_("€"* \(#,##0.00\);_("€"* "-"??_);_(@_)</c:formatCode>
                <c:ptCount val="21"/>
                <c:pt idx="0">
                  <c:v>132.38</c:v>
                </c:pt>
                <c:pt idx="1">
                  <c:v>132.38</c:v>
                </c:pt>
                <c:pt idx="2">
                  <c:v>132.38</c:v>
                </c:pt>
                <c:pt idx="3">
                  <c:v>132.38</c:v>
                </c:pt>
                <c:pt idx="4">
                  <c:v>132.38</c:v>
                </c:pt>
                <c:pt idx="5">
                  <c:v>132.38</c:v>
                </c:pt>
                <c:pt idx="6">
                  <c:v>132.38</c:v>
                </c:pt>
                <c:pt idx="7">
                  <c:v>132.38</c:v>
                </c:pt>
                <c:pt idx="8">
                  <c:v>132.38</c:v>
                </c:pt>
                <c:pt idx="9">
                  <c:v>132.38</c:v>
                </c:pt>
                <c:pt idx="10">
                  <c:v>132.38</c:v>
                </c:pt>
                <c:pt idx="11">
                  <c:v>132.38</c:v>
                </c:pt>
                <c:pt idx="12">
                  <c:v>132.38</c:v>
                </c:pt>
                <c:pt idx="13">
                  <c:v>132.38</c:v>
                </c:pt>
                <c:pt idx="14">
                  <c:v>132.38</c:v>
                </c:pt>
                <c:pt idx="15">
                  <c:v>132.38</c:v>
                </c:pt>
                <c:pt idx="16">
                  <c:v>132.38</c:v>
                </c:pt>
                <c:pt idx="17">
                  <c:v>132.38</c:v>
                </c:pt>
                <c:pt idx="18">
                  <c:v>132.38</c:v>
                </c:pt>
                <c:pt idx="19">
                  <c:v>132.38</c:v>
                </c:pt>
                <c:pt idx="20">
                  <c:v>132.38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9CE-4FE8-80E8-137B4131D3EF}"/>
            </c:ext>
          </c:extLst>
        </c:ser>
        <c:ser>
          <c:idx val="1"/>
          <c:order val="1"/>
          <c:tx>
            <c:strRef>
              <c:f>Calculs!$C$37</c:f>
              <c:strCache>
                <c:ptCount val="1"/>
                <c:pt idx="0">
                  <c:v>Proportionnel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Calculs!$A$38:$A$58</c:f>
              <c:numCache>
                <c:formatCode>0%</c:formatCode>
                <c:ptCount val="21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0.55000000000000004</c:v>
                </c:pt>
                <c:pt idx="12">
                  <c:v>0.6</c:v>
                </c:pt>
                <c:pt idx="13">
                  <c:v>0.65</c:v>
                </c:pt>
                <c:pt idx="14">
                  <c:v>0.7</c:v>
                </c:pt>
                <c:pt idx="15">
                  <c:v>0.75</c:v>
                </c:pt>
                <c:pt idx="16">
                  <c:v>0.8</c:v>
                </c:pt>
                <c:pt idx="17">
                  <c:v>0.85</c:v>
                </c:pt>
                <c:pt idx="18">
                  <c:v>0.9</c:v>
                </c:pt>
                <c:pt idx="19">
                  <c:v>0.95</c:v>
                </c:pt>
                <c:pt idx="20">
                  <c:v>1</c:v>
                </c:pt>
              </c:numCache>
            </c:numRef>
          </c:xVal>
          <c:yVal>
            <c:numRef>
              <c:f>Calculs!$C$38:$C$58</c:f>
              <c:numCache>
                <c:formatCode>_("€"* #,##0.00_);_("€"* \(#,##0.00\);_("€"* "-"??_);_(@_)</c:formatCode>
                <c:ptCount val="21"/>
                <c:pt idx="0">
                  <c:v>212.60999999999999</c:v>
                </c:pt>
                <c:pt idx="1">
                  <c:v>201.9795</c:v>
                </c:pt>
                <c:pt idx="2">
                  <c:v>191.34899999999999</c:v>
                </c:pt>
                <c:pt idx="3">
                  <c:v>180.71850000000001</c:v>
                </c:pt>
                <c:pt idx="4">
                  <c:v>170.08799999999999</c:v>
                </c:pt>
                <c:pt idx="5">
                  <c:v>159.45750000000001</c:v>
                </c:pt>
                <c:pt idx="6">
                  <c:v>148.827</c:v>
                </c:pt>
                <c:pt idx="7">
                  <c:v>138.19649999999999</c:v>
                </c:pt>
                <c:pt idx="8">
                  <c:v>127.566</c:v>
                </c:pt>
                <c:pt idx="9">
                  <c:v>116.9355</c:v>
                </c:pt>
                <c:pt idx="10">
                  <c:v>106.30499999999999</c:v>
                </c:pt>
                <c:pt idx="11">
                  <c:v>95.674499999999981</c:v>
                </c:pt>
                <c:pt idx="12">
                  <c:v>85.043999999999997</c:v>
                </c:pt>
                <c:pt idx="13">
                  <c:v>74.413499999999999</c:v>
                </c:pt>
                <c:pt idx="14">
                  <c:v>63.783000000000015</c:v>
                </c:pt>
                <c:pt idx="15">
                  <c:v>53.152499999999996</c:v>
                </c:pt>
                <c:pt idx="16">
                  <c:v>42.521999999999991</c:v>
                </c:pt>
                <c:pt idx="17">
                  <c:v>31.891500000000008</c:v>
                </c:pt>
                <c:pt idx="18">
                  <c:v>21.260999999999996</c:v>
                </c:pt>
                <c:pt idx="19">
                  <c:v>10.63050000000001</c:v>
                </c:pt>
                <c:pt idx="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9CE-4FE8-80E8-137B4131D3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7648912"/>
        <c:axId val="2037650576"/>
      </c:scatterChart>
      <c:valAx>
        <c:axId val="2037648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BE"/>
                  <a:t>Part</a:t>
                </a:r>
                <a:r>
                  <a:rPr lang="fr-BE" baseline="0"/>
                  <a:t> de la production autoconsommée</a:t>
                </a:r>
                <a:endParaRPr lang="fr-BE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37650576"/>
        <c:crosses val="autoZero"/>
        <c:crossBetween val="midCat"/>
      </c:valAx>
      <c:valAx>
        <c:axId val="203765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376489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314598</xdr:colOff>
      <xdr:row>17</xdr:row>
      <xdr:rowOff>60960</xdr:rowOff>
    </xdr:from>
    <xdr:to>
      <xdr:col>15</xdr:col>
      <xdr:colOff>573678</xdr:colOff>
      <xdr:row>32</xdr:row>
      <xdr:rowOff>60960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topLeftCell="A4" zoomScaleNormal="100" zoomScalePageLayoutView="70" workbookViewId="0">
      <selection activeCell="O13" sqref="O13"/>
    </sheetView>
  </sheetViews>
  <sheetFormatPr baseColWidth="10" defaultColWidth="8.88671875" defaultRowHeight="14.4" x14ac:dyDescent="0.3"/>
  <cols>
    <col min="2" max="2" width="14.5546875" customWidth="1"/>
    <col min="3" max="3" width="13.77734375" customWidth="1"/>
    <col min="11" max="11" width="16.5546875" customWidth="1"/>
    <col min="12" max="12" width="12.77734375" customWidth="1"/>
  </cols>
  <sheetData>
    <row r="1" spans="1:18" ht="21" x14ac:dyDescent="0.4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 t="s">
        <v>26</v>
      </c>
      <c r="K1" s="13"/>
      <c r="L1" s="13"/>
      <c r="M1" s="13"/>
      <c r="N1" s="13"/>
      <c r="O1" s="13"/>
      <c r="P1" s="13"/>
      <c r="Q1" s="13"/>
      <c r="R1" s="12"/>
    </row>
    <row r="3" spans="1:18" x14ac:dyDescent="0.3">
      <c r="A3" s="1" t="s">
        <v>42</v>
      </c>
    </row>
    <row r="4" spans="1:18" x14ac:dyDescent="0.3">
      <c r="A4" s="1"/>
      <c r="J4" s="1" t="s">
        <v>46</v>
      </c>
    </row>
    <row r="5" spans="1:18" x14ac:dyDescent="0.3">
      <c r="A5" t="s">
        <v>0</v>
      </c>
      <c r="C5" s="7">
        <v>2</v>
      </c>
      <c r="D5" t="s">
        <v>1</v>
      </c>
    </row>
    <row r="6" spans="1:18" x14ac:dyDescent="0.3">
      <c r="A6" t="s">
        <v>2</v>
      </c>
      <c r="C6" s="7">
        <v>2</v>
      </c>
      <c r="D6" t="s">
        <v>3</v>
      </c>
      <c r="J6" t="s">
        <v>27</v>
      </c>
      <c r="L6" s="4">
        <f>IF(C5:C6="","",MIN(C5:C6))</f>
        <v>2</v>
      </c>
      <c r="M6" t="s">
        <v>28</v>
      </c>
    </row>
    <row r="7" spans="1:18" x14ac:dyDescent="0.3">
      <c r="A7" t="s">
        <v>23</v>
      </c>
      <c r="C7" s="6">
        <v>1900</v>
      </c>
      <c r="D7" t="s">
        <v>24</v>
      </c>
      <c r="J7" t="s">
        <v>34</v>
      </c>
      <c r="L7" s="5">
        <f>IF(L6="","",L6*Calculs!B29)</f>
        <v>132.38</v>
      </c>
    </row>
    <row r="9" spans="1:18" x14ac:dyDescent="0.3">
      <c r="A9" s="1" t="s">
        <v>13</v>
      </c>
      <c r="J9" s="1" t="s">
        <v>47</v>
      </c>
    </row>
    <row r="11" spans="1:18" x14ac:dyDescent="0.3">
      <c r="A11" t="s">
        <v>6</v>
      </c>
      <c r="C11" s="7" t="s">
        <v>7</v>
      </c>
      <c r="J11" t="s">
        <v>36</v>
      </c>
    </row>
    <row r="12" spans="1:18" x14ac:dyDescent="0.3">
      <c r="A12" t="s">
        <v>8</v>
      </c>
      <c r="C12" s="7" t="s">
        <v>11</v>
      </c>
      <c r="J12" t="s">
        <v>34</v>
      </c>
      <c r="L12" s="9">
        <f>Calculs!F31</f>
        <v>5.5950000000000006</v>
      </c>
    </row>
    <row r="14" spans="1:18" x14ac:dyDescent="0.3">
      <c r="A14" s="1" t="s">
        <v>14</v>
      </c>
      <c r="J14" t="s">
        <v>37</v>
      </c>
    </row>
    <row r="16" spans="1:18" x14ac:dyDescent="0.3">
      <c r="A16" t="str">
        <f>IF( AND(C$11=Calculs!B$4,C$12=Calculs!B$7),Calculs!A12,"")</f>
        <v/>
      </c>
      <c r="D16" s="7"/>
      <c r="E16" t="str">
        <f>IF(A16="","","kWh")</f>
        <v/>
      </c>
      <c r="J16" t="s">
        <v>39</v>
      </c>
      <c r="L16" s="11">
        <f>Calculs!F38</f>
        <v>0.37735760312308919</v>
      </c>
    </row>
    <row r="17" spans="1:5" x14ac:dyDescent="0.3">
      <c r="A17" t="str">
        <f>IF( AND(C$11=Calculs!B$4,C$12=Calculs!B$8),Calculs!A13,"")</f>
        <v/>
      </c>
      <c r="D17" s="7"/>
      <c r="E17" t="str">
        <f t="shared" ref="E17:E28" si="0">IF(A17="","","kWh")</f>
        <v/>
      </c>
    </row>
    <row r="18" spans="1:5" x14ac:dyDescent="0.3">
      <c r="A18" t="str">
        <f>IF( AND(C$11=Calculs!B$4,C$12=Calculs!B$8),Calculs!A14,"")</f>
        <v/>
      </c>
      <c r="D18" s="7"/>
      <c r="E18" t="str">
        <f t="shared" si="0"/>
        <v/>
      </c>
    </row>
    <row r="19" spans="1:5" x14ac:dyDescent="0.3">
      <c r="A19" t="str">
        <f>IF( AND(C$11=Calculs!B$5,C$12=Calculs!B$7),Calculs!A15,"")</f>
        <v>Consommation brute mono-horaire</v>
      </c>
      <c r="D19" s="7">
        <v>100</v>
      </c>
      <c r="E19" t="str">
        <f t="shared" si="0"/>
        <v>kWh</v>
      </c>
    </row>
    <row r="20" spans="1:5" x14ac:dyDescent="0.3">
      <c r="A20" t="str">
        <f>IF( AND(C$11=Calculs!B$5,C$12=Calculs!B$8),Calculs!A16,"")</f>
        <v/>
      </c>
      <c r="D20" s="7"/>
      <c r="E20" t="str">
        <f t="shared" si="0"/>
        <v/>
      </c>
    </row>
    <row r="21" spans="1:5" x14ac:dyDescent="0.3">
      <c r="A21" t="str">
        <f>IF( AND(C$11=Calculs!B$5,C$12=Calculs!B$8),Calculs!A17,"")</f>
        <v/>
      </c>
      <c r="D21" s="7"/>
      <c r="E21" t="str">
        <f t="shared" si="0"/>
        <v/>
      </c>
    </row>
    <row r="22" spans="1:5" x14ac:dyDescent="0.3">
      <c r="A22" t="str">
        <f>IF( AND(C$11=Calculs!B$5,C$12=Calculs!B$7),Calculs!A18,"")</f>
        <v>Injection mono-horaire</v>
      </c>
      <c r="D22" s="7">
        <v>50</v>
      </c>
      <c r="E22" t="str">
        <f t="shared" si="0"/>
        <v>kWh</v>
      </c>
    </row>
    <row r="23" spans="1:5" x14ac:dyDescent="0.3">
      <c r="A23" t="str">
        <f>IF( AND(C$11=Calculs!B$5,C$12=Calculs!B$8),Calculs!A19,"")</f>
        <v/>
      </c>
      <c r="D23" s="7"/>
      <c r="E23" t="str">
        <f t="shared" si="0"/>
        <v/>
      </c>
    </row>
    <row r="24" spans="1:5" x14ac:dyDescent="0.3">
      <c r="A24" t="str">
        <f>IF( AND(C$11=Calculs!B$5,C$12=Calculs!B$8),Calculs!A20,"")</f>
        <v/>
      </c>
      <c r="D24" s="7"/>
      <c r="E24" t="str">
        <f t="shared" si="0"/>
        <v/>
      </c>
    </row>
    <row r="25" spans="1:5" x14ac:dyDescent="0.3">
      <c r="D25" s="7"/>
      <c r="E25" t="str">
        <f t="shared" si="0"/>
        <v/>
      </c>
    </row>
    <row r="26" spans="1:5" x14ac:dyDescent="0.3">
      <c r="E26" t="str">
        <f t="shared" si="0"/>
        <v/>
      </c>
    </row>
    <row r="27" spans="1:5" x14ac:dyDescent="0.3">
      <c r="E27" t="str">
        <f t="shared" si="0"/>
        <v/>
      </c>
    </row>
    <row r="28" spans="1:5" x14ac:dyDescent="0.3">
      <c r="E28" t="str">
        <f t="shared" si="0"/>
        <v/>
      </c>
    </row>
  </sheetData>
  <mergeCells count="2">
    <mergeCell ref="A1:I1"/>
    <mergeCell ref="J1:Q1"/>
  </mergeCells>
  <pageMargins left="0.7" right="0.7" top="0.75" bottom="0.75" header="0.3" footer="0.3"/>
  <pageSetup paperSize="9" orientation="portrait" r:id="rId1"/>
  <headerFooter>
    <oddHeader>&amp;C&amp;"-,Gras"&amp;16Quel tarifi prosumer ?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Calculs!$B$4:$B$5</xm:f>
          </x14:formula1>
          <xm:sqref>C11</xm:sqref>
        </x14:dataValidation>
        <x14:dataValidation type="list" allowBlank="1" showInputMessage="1" showErrorMessage="1">
          <x14:formula1>
            <xm:f>Calculs!$B$7:$B$8</xm:f>
          </x14:formula1>
          <xm:sqref>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8"/>
  <sheetViews>
    <sheetView topLeftCell="A20" workbookViewId="0">
      <selection activeCell="F29" sqref="F29"/>
    </sheetView>
  </sheetViews>
  <sheetFormatPr baseColWidth="10" defaultRowHeight="14.4" x14ac:dyDescent="0.3"/>
  <cols>
    <col min="1" max="1" width="18.44140625" customWidth="1"/>
  </cols>
  <sheetData>
    <row r="3" spans="1:2" x14ac:dyDescent="0.3">
      <c r="A3" s="1" t="s">
        <v>9</v>
      </c>
    </row>
    <row r="4" spans="1:2" x14ac:dyDescent="0.3">
      <c r="A4" s="2" t="s">
        <v>6</v>
      </c>
      <c r="B4" t="s">
        <v>45</v>
      </c>
    </row>
    <row r="5" spans="1:2" x14ac:dyDescent="0.3">
      <c r="B5" t="s">
        <v>7</v>
      </c>
    </row>
    <row r="7" spans="1:2" x14ac:dyDescent="0.3">
      <c r="A7" t="s">
        <v>10</v>
      </c>
      <c r="B7" t="s">
        <v>11</v>
      </c>
    </row>
    <row r="8" spans="1:2" x14ac:dyDescent="0.3">
      <c r="B8" t="s">
        <v>12</v>
      </c>
    </row>
    <row r="10" spans="1:2" x14ac:dyDescent="0.3">
      <c r="A10" s="1" t="s">
        <v>22</v>
      </c>
    </row>
    <row r="12" spans="1:2" x14ac:dyDescent="0.3">
      <c r="A12" t="s">
        <v>15</v>
      </c>
    </row>
    <row r="13" spans="1:2" x14ac:dyDescent="0.3">
      <c r="A13" t="s">
        <v>16</v>
      </c>
    </row>
    <row r="14" spans="1:2" x14ac:dyDescent="0.3">
      <c r="A14" t="s">
        <v>17</v>
      </c>
    </row>
    <row r="15" spans="1:2" x14ac:dyDescent="0.3">
      <c r="A15" t="s">
        <v>18</v>
      </c>
    </row>
    <row r="16" spans="1:2" x14ac:dyDescent="0.3">
      <c r="A16" t="s">
        <v>19</v>
      </c>
    </row>
    <row r="17" spans="1:7" x14ac:dyDescent="0.3">
      <c r="A17" t="s">
        <v>20</v>
      </c>
    </row>
    <row r="18" spans="1:7" x14ac:dyDescent="0.3">
      <c r="A18" t="s">
        <v>21</v>
      </c>
    </row>
    <row r="19" spans="1:7" x14ac:dyDescent="0.3">
      <c r="A19" t="s">
        <v>4</v>
      </c>
    </row>
    <row r="20" spans="1:7" x14ac:dyDescent="0.3">
      <c r="A20" t="s">
        <v>5</v>
      </c>
    </row>
    <row r="22" spans="1:7" x14ac:dyDescent="0.3">
      <c r="A22" s="1" t="s">
        <v>29</v>
      </c>
    </row>
    <row r="23" spans="1:7" x14ac:dyDescent="0.3">
      <c r="C23" t="s">
        <v>40</v>
      </c>
      <c r="D23" t="s">
        <v>41</v>
      </c>
      <c r="E23" t="s">
        <v>35</v>
      </c>
    </row>
    <row r="24" spans="1:7" x14ac:dyDescent="0.3">
      <c r="A24" t="s">
        <v>43</v>
      </c>
      <c r="B24" s="3">
        <v>9.0700000000000003E-2</v>
      </c>
      <c r="C24">
        <f>D24-E24</f>
        <v>50</v>
      </c>
      <c r="D24">
        <f>Données!D19</f>
        <v>100</v>
      </c>
      <c r="E24">
        <f>Données!D22</f>
        <v>50</v>
      </c>
      <c r="F24" s="8">
        <f>D24*B24-IF(C24&gt;0,B24*C24,0)</f>
        <v>4.5350000000000001</v>
      </c>
      <c r="G24" s="8"/>
    </row>
    <row r="25" spans="1:7" x14ac:dyDescent="0.3">
      <c r="A25" t="s">
        <v>30</v>
      </c>
      <c r="B25" s="3">
        <v>9.6299999999999997E-2</v>
      </c>
      <c r="C25">
        <f>Données!D20-Données!D23</f>
        <v>0</v>
      </c>
      <c r="D25">
        <f>Données!D20</f>
        <v>0</v>
      </c>
      <c r="E25">
        <f>Données!D23</f>
        <v>0</v>
      </c>
      <c r="F25" s="8">
        <f t="shared" ref="F25:F28" si="0">D25*B25-IF(C25&gt;0,B25*C25,0)</f>
        <v>0</v>
      </c>
    </row>
    <row r="26" spans="1:7" x14ac:dyDescent="0.3">
      <c r="A26" t="s">
        <v>31</v>
      </c>
      <c r="B26" s="3">
        <v>5.6599999999999998E-2</v>
      </c>
      <c r="C26">
        <f>Données!D21-Données!D24</f>
        <v>0</v>
      </c>
      <c r="D26">
        <f>Données!D21</f>
        <v>0</v>
      </c>
      <c r="E26">
        <f>Données!D24</f>
        <v>0</v>
      </c>
      <c r="F26" s="8">
        <f t="shared" si="0"/>
        <v>0</v>
      </c>
    </row>
    <row r="27" spans="1:7" x14ac:dyDescent="0.3">
      <c r="A27" t="s">
        <v>32</v>
      </c>
      <c r="B27" s="3">
        <v>13.6</v>
      </c>
      <c r="F27" s="8">
        <f t="shared" si="0"/>
        <v>0</v>
      </c>
    </row>
    <row r="28" spans="1:7" x14ac:dyDescent="0.3">
      <c r="A28" t="s">
        <v>33</v>
      </c>
      <c r="B28" s="3">
        <v>2.12E-2</v>
      </c>
      <c r="C28">
        <f>SUM(C24:C26)</f>
        <v>50</v>
      </c>
      <c r="D28">
        <f t="shared" ref="D28:E28" si="1">SUM(D24:D26)</f>
        <v>100</v>
      </c>
      <c r="E28">
        <f t="shared" si="1"/>
        <v>50</v>
      </c>
      <c r="F28" s="8">
        <f>D28*B28-IF(C28&gt;0,B28*C28,0)</f>
        <v>1.06</v>
      </c>
    </row>
    <row r="29" spans="1:7" x14ac:dyDescent="0.3">
      <c r="A29" t="s">
        <v>34</v>
      </c>
      <c r="B29" s="3">
        <v>66.19</v>
      </c>
    </row>
    <row r="31" spans="1:7" x14ac:dyDescent="0.3">
      <c r="F31" s="8">
        <f>SUM(F24:F28)</f>
        <v>5.5950000000000006</v>
      </c>
      <c r="G31" s="8"/>
    </row>
    <row r="36" spans="1:6" x14ac:dyDescent="0.3">
      <c r="A36" t="s">
        <v>44</v>
      </c>
    </row>
    <row r="37" spans="1:6" x14ac:dyDescent="0.3">
      <c r="B37" t="s">
        <v>38</v>
      </c>
      <c r="C37" t="s">
        <v>48</v>
      </c>
    </row>
    <row r="38" spans="1:6" x14ac:dyDescent="0.3">
      <c r="A38" s="10">
        <v>0</v>
      </c>
      <c r="B38" s="8">
        <f>Données!$L$7</f>
        <v>132.38</v>
      </c>
      <c r="C38" s="8">
        <f>Données!C$7*(1-A38)*(B$28+IF(Données!C$12=Calculs!B$7,Calculs!B$24,5/7*Calculs!B$25+2/7*Calculs!B$26))</f>
        <v>212.60999999999999</v>
      </c>
      <c r="D38" s="8"/>
      <c r="F38" s="10">
        <f>1-(Données!$L$7/Données!C$7/(B$28+IF(Données!C$12=Calculs!B$7,Calculs!B$24,5/7*Calculs!B$25+2/7*Calculs!B$26)))</f>
        <v>0.37735760312308919</v>
      </c>
    </row>
    <row r="39" spans="1:6" x14ac:dyDescent="0.3">
      <c r="A39" s="10">
        <v>0.05</v>
      </c>
      <c r="B39" s="8">
        <f>Données!$L$7</f>
        <v>132.38</v>
      </c>
      <c r="C39" s="8">
        <f>Données!C$7*(1-A39)*(B$28+IF(Données!C$12=Calculs!B$7,Calculs!B$24,5/7*Calculs!B$25+2/7*Calculs!B$26))</f>
        <v>201.9795</v>
      </c>
      <c r="D39" s="8"/>
    </row>
    <row r="40" spans="1:6" x14ac:dyDescent="0.3">
      <c r="A40" s="10">
        <v>0.1</v>
      </c>
      <c r="B40" s="8">
        <f>Données!$L$7</f>
        <v>132.38</v>
      </c>
      <c r="C40" s="8">
        <f>Données!C$7*(1-A40)*(B$28+IF(Données!C$12=Calculs!B$7,Calculs!B$24,5/7*Calculs!B$25+2/7*Calculs!B$26))</f>
        <v>191.34899999999999</v>
      </c>
      <c r="D40" s="8"/>
    </row>
    <row r="41" spans="1:6" x14ac:dyDescent="0.3">
      <c r="A41" s="10">
        <v>0.15</v>
      </c>
      <c r="B41" s="8">
        <f>Données!$L$7</f>
        <v>132.38</v>
      </c>
      <c r="C41" s="8">
        <f>Données!C$7*(1-A41)*(B$28+IF(Données!C$12=Calculs!B$7,Calculs!B$24,5/7*Calculs!B$25+2/7*Calculs!B$26))</f>
        <v>180.71850000000001</v>
      </c>
      <c r="D41" s="8"/>
    </row>
    <row r="42" spans="1:6" x14ac:dyDescent="0.3">
      <c r="A42" s="10">
        <v>0.2</v>
      </c>
      <c r="B42" s="8">
        <f>Données!$L$7</f>
        <v>132.38</v>
      </c>
      <c r="C42" s="8">
        <f>Données!C$7*(1-A42)*(B$28+IF(Données!C$12=Calculs!B$7,Calculs!B$24,5/7*Calculs!B$25+2/7*Calculs!B$26))</f>
        <v>170.08799999999999</v>
      </c>
      <c r="D42" s="8"/>
    </row>
    <row r="43" spans="1:6" x14ac:dyDescent="0.3">
      <c r="A43" s="10">
        <v>0.25</v>
      </c>
      <c r="B43" s="8">
        <f>Données!$L$7</f>
        <v>132.38</v>
      </c>
      <c r="C43" s="8">
        <f>Données!C$7*(1-A43)*(B$28+IF(Données!C$12=Calculs!B$7,Calculs!B$24,5/7*Calculs!B$25+2/7*Calculs!B$26))</f>
        <v>159.45750000000001</v>
      </c>
      <c r="D43" s="8"/>
    </row>
    <row r="44" spans="1:6" x14ac:dyDescent="0.3">
      <c r="A44" s="10">
        <v>0.3</v>
      </c>
      <c r="B44" s="8">
        <f>Données!$L$7</f>
        <v>132.38</v>
      </c>
      <c r="C44" s="8">
        <f>Données!C$7*(1-A44)*(B$28+IF(Données!C$12=Calculs!B$7,Calculs!B$24,5/7*Calculs!B$25+2/7*Calculs!B$26))</f>
        <v>148.827</v>
      </c>
      <c r="D44" s="8"/>
    </row>
    <row r="45" spans="1:6" x14ac:dyDescent="0.3">
      <c r="A45" s="10">
        <v>0.35</v>
      </c>
      <c r="B45" s="8">
        <f>Données!$L$7</f>
        <v>132.38</v>
      </c>
      <c r="C45" s="8">
        <f>Données!C$7*(1-A45)*(B$28+IF(Données!C$12=Calculs!B$7,Calculs!B$24,5/7*Calculs!B$25+2/7*Calculs!B$26))</f>
        <v>138.19649999999999</v>
      </c>
      <c r="D45" s="8"/>
    </row>
    <row r="46" spans="1:6" x14ac:dyDescent="0.3">
      <c r="A46" s="10">
        <v>0.4</v>
      </c>
      <c r="B46" s="8">
        <f>Données!$L$7</f>
        <v>132.38</v>
      </c>
      <c r="C46" s="8">
        <f>Données!C$7*(1-A46)*(B$28+IF(Données!C$12=Calculs!B$7,Calculs!B$24,5/7*Calculs!B$25+2/7*Calculs!B$26))</f>
        <v>127.566</v>
      </c>
      <c r="D46" s="8"/>
    </row>
    <row r="47" spans="1:6" x14ac:dyDescent="0.3">
      <c r="A47" s="10">
        <v>0.45</v>
      </c>
      <c r="B47" s="8">
        <f>Données!$L$7</f>
        <v>132.38</v>
      </c>
      <c r="C47" s="8">
        <f>Données!C$7*(1-A47)*(B$28+IF(Données!C$12=Calculs!B$7,Calculs!B$24,5/7*Calculs!B$25+2/7*Calculs!B$26))</f>
        <v>116.9355</v>
      </c>
      <c r="D47" s="8"/>
    </row>
    <row r="48" spans="1:6" x14ac:dyDescent="0.3">
      <c r="A48" s="10">
        <v>0.5</v>
      </c>
      <c r="B48" s="8">
        <f>Données!$L$7</f>
        <v>132.38</v>
      </c>
      <c r="C48" s="8">
        <f>Données!C$7*(1-A48)*(B$28+IF(Données!C$12=Calculs!B$7,Calculs!B$24,5/7*Calculs!B$25+2/7*Calculs!B$26))</f>
        <v>106.30499999999999</v>
      </c>
      <c r="D48" s="8"/>
    </row>
    <row r="49" spans="1:4" x14ac:dyDescent="0.3">
      <c r="A49" s="10">
        <v>0.55000000000000004</v>
      </c>
      <c r="B49" s="8">
        <f>Données!$L$7</f>
        <v>132.38</v>
      </c>
      <c r="C49" s="8">
        <f>Données!C$7*(1-A49)*(B$28+IF(Données!C$12=Calculs!B$7,Calculs!B$24,5/7*Calculs!B$25+2/7*Calculs!B$26))</f>
        <v>95.674499999999981</v>
      </c>
      <c r="D49" s="8"/>
    </row>
    <row r="50" spans="1:4" x14ac:dyDescent="0.3">
      <c r="A50" s="10">
        <v>0.6</v>
      </c>
      <c r="B50" s="8">
        <f>Données!$L$7</f>
        <v>132.38</v>
      </c>
      <c r="C50" s="8">
        <f>Données!C$7*(1-A50)*(B$28+IF(Données!C$12=Calculs!B$7,Calculs!B$24,5/7*Calculs!B$25+2/7*Calculs!B$26))</f>
        <v>85.043999999999997</v>
      </c>
      <c r="D50" s="8"/>
    </row>
    <row r="51" spans="1:4" x14ac:dyDescent="0.3">
      <c r="A51" s="10">
        <v>0.65</v>
      </c>
      <c r="B51" s="8">
        <f>Données!$L$7</f>
        <v>132.38</v>
      </c>
      <c r="C51" s="8">
        <f>Données!C$7*(1-A51)*(B$28+IF(Données!C$12=Calculs!B$7,Calculs!B$24,5/7*Calculs!B$25+2/7*Calculs!B$26))</f>
        <v>74.413499999999999</v>
      </c>
      <c r="D51" s="8"/>
    </row>
    <row r="52" spans="1:4" x14ac:dyDescent="0.3">
      <c r="A52" s="10">
        <v>0.7</v>
      </c>
      <c r="B52" s="8">
        <f>Données!$L$7</f>
        <v>132.38</v>
      </c>
      <c r="C52" s="8">
        <f>Données!C$7*(1-A52)*(B$28+IF(Données!C$12=Calculs!B$7,Calculs!B$24,5/7*Calculs!B$25+2/7*Calculs!B$26))</f>
        <v>63.783000000000015</v>
      </c>
      <c r="D52" s="8"/>
    </row>
    <row r="53" spans="1:4" x14ac:dyDescent="0.3">
      <c r="A53" s="10">
        <v>0.75</v>
      </c>
      <c r="B53" s="8">
        <f>Données!$L$7</f>
        <v>132.38</v>
      </c>
      <c r="C53" s="8">
        <f>Données!C$7*(1-A53)*(B$28+IF(Données!C$12=Calculs!B$7,Calculs!B$24,5/7*Calculs!B$25+2/7*Calculs!B$26))</f>
        <v>53.152499999999996</v>
      </c>
      <c r="D53" s="8"/>
    </row>
    <row r="54" spans="1:4" x14ac:dyDescent="0.3">
      <c r="A54" s="10">
        <v>0.8</v>
      </c>
      <c r="B54" s="8">
        <f>Données!$L$7</f>
        <v>132.38</v>
      </c>
      <c r="C54" s="8">
        <f>Données!C$7*(1-A54)*(B$28+IF(Données!C$12=Calculs!B$7,Calculs!B$24,5/7*Calculs!B$25+2/7*Calculs!B$26))</f>
        <v>42.521999999999991</v>
      </c>
      <c r="D54" s="8"/>
    </row>
    <row r="55" spans="1:4" x14ac:dyDescent="0.3">
      <c r="A55" s="10">
        <v>0.85</v>
      </c>
      <c r="B55" s="8">
        <f>Données!$L$7</f>
        <v>132.38</v>
      </c>
      <c r="C55" s="8">
        <f>Données!C$7*(1-A55)*(B$28+IF(Données!C$12=Calculs!B$7,Calculs!B$24,5/7*Calculs!B$25+2/7*Calculs!B$26))</f>
        <v>31.891500000000008</v>
      </c>
      <c r="D55" s="8"/>
    </row>
    <row r="56" spans="1:4" x14ac:dyDescent="0.3">
      <c r="A56" s="10">
        <v>0.9</v>
      </c>
      <c r="B56" s="8">
        <f>Données!$L$7</f>
        <v>132.38</v>
      </c>
      <c r="C56" s="8">
        <f>Données!C$7*(1-A56)*(B$28+IF(Données!C$12=Calculs!B$7,Calculs!B$24,5/7*Calculs!B$25+2/7*Calculs!B$26))</f>
        <v>21.260999999999996</v>
      </c>
      <c r="D56" s="8"/>
    </row>
    <row r="57" spans="1:4" x14ac:dyDescent="0.3">
      <c r="A57" s="10">
        <v>0.95</v>
      </c>
      <c r="B57" s="8">
        <f>Données!$L$7</f>
        <v>132.38</v>
      </c>
      <c r="C57" s="8">
        <f>Données!C$7*(1-A57)*(B$28+IF(Données!C$12=Calculs!B$7,Calculs!B$24,5/7*Calculs!B$25+2/7*Calculs!B$26))</f>
        <v>10.63050000000001</v>
      </c>
      <c r="D57" s="8"/>
    </row>
    <row r="58" spans="1:4" x14ac:dyDescent="0.3">
      <c r="A58" s="10">
        <v>1</v>
      </c>
      <c r="B58" s="8">
        <f>Données!$L$7</f>
        <v>132.38</v>
      </c>
      <c r="C58" s="8">
        <f>Données!C$7*(1-A58)*(B$28+IF(Données!C$12=Calculs!B$7,Calculs!B$24,5/7*Calculs!B$25+2/7*Calculs!B$26))</f>
        <v>0</v>
      </c>
      <c r="D5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Données</vt:lpstr>
      <vt:lpstr>Calculs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2024-06-16T18:59:37Z</dcterms:modified>
</cp:coreProperties>
</file>